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oner\Desktop\"/>
    </mc:Choice>
  </mc:AlternateContent>
  <xr:revisionPtr revIDLastSave="0" documentId="13_ncr:1_{AD9114B1-F6D3-4961-873A-3CB41EB72825}" xr6:coauthVersionLast="45" xr6:coauthVersionMax="45" xr10:uidLastSave="{00000000-0000-0000-0000-000000000000}"/>
  <bookViews>
    <workbookView xWindow="33390" yWindow="3165" windowWidth="21600" windowHeight="11385" xr2:uid="{A01C1CFC-6A34-4AA5-9E40-0E0A6D5B2F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B66" i="1"/>
  <c r="A5" i="1"/>
  <c r="C9" i="1"/>
  <c r="B5" i="1"/>
  <c r="C5" i="1"/>
  <c r="B65" i="1"/>
  <c r="D5" i="1"/>
  <c r="B23" i="1" l="1"/>
  <c r="D12" i="1" l="1"/>
  <c r="C12" i="1"/>
  <c r="C41" i="1" l="1"/>
  <c r="C43" i="1" s="1"/>
  <c r="C21" i="1" l="1"/>
  <c r="C23" i="1" s="1"/>
  <c r="B50" i="1"/>
  <c r="C10" i="1"/>
  <c r="B29" i="1"/>
  <c r="C32" i="1" s="1"/>
  <c r="F5" i="1" l="1"/>
  <c r="E5" i="1"/>
  <c r="G5" i="1"/>
  <c r="I10" i="1"/>
  <c r="B51" i="1" l="1"/>
  <c r="C47" i="1" l="1"/>
  <c r="C45" i="1"/>
  <c r="C37" i="1" l="1"/>
  <c r="C15" i="1" l="1"/>
  <c r="D15" i="1"/>
  <c r="C36" i="1" l="1"/>
  <c r="C34" i="1"/>
  <c r="C38" i="1"/>
  <c r="C60" i="1"/>
  <c r="B52" i="1"/>
  <c r="C54" i="1" s="1"/>
  <c r="C56" i="1"/>
  <c r="E15" i="1"/>
  <c r="C26" i="1"/>
  <c r="C24" i="1"/>
  <c r="C25" i="1"/>
  <c r="D19" i="1"/>
  <c r="D17" i="1"/>
  <c r="D13" i="1"/>
  <c r="C17" i="1"/>
  <c r="C19" i="1"/>
  <c r="C13" i="1"/>
  <c r="J5" i="1" l="1"/>
  <c r="J6" i="1" s="1"/>
  <c r="C58" i="1"/>
  <c r="E13" i="1"/>
  <c r="E17" i="1"/>
  <c r="K5" i="1" s="1"/>
  <c r="K6" i="1" s="1"/>
  <c r="E19" i="1"/>
  <c r="L5" i="1" l="1"/>
  <c r="L6" i="1" s="1"/>
  <c r="I5" i="1"/>
  <c r="I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Toner, Eric</author>
  </authors>
  <commentList>
    <comment ref="A1" authorId="0" shapeId="0" xr:uid="{B82BE2CA-8F0F-426B-A433-D2F6FE9D879E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base don Kaiser data from CA and WA</t>
        </r>
      </text>
    </comment>
    <comment ref="A5" authorId="0" shapeId="0" xr:uid="{2548D819-9A3B-4C07-8EE3-DAC724D36CD9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 15% hospitalization rate
</t>
        </r>
      </text>
    </comment>
    <comment ref="B5" authorId="0" shapeId="0" xr:uid="{51F32755-242D-4C63-A591-D94C4F77566F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25% of admitted patients go to ICU</t>
        </r>
      </text>
    </comment>
    <comment ref="C5" authorId="0" shapeId="0" xr:uid="{868F276C-8D65-41DC-968A-5EFE9245F1D2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70% of deaths occur in ICU and 50% CFR in ICU</t>
        </r>
      </text>
    </comment>
    <comment ref="D5" authorId="0" shapeId="0" xr:uid="{720A0B98-3D2C-4EEB-BD7F-C7406EC89BBE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current deaths as of 4/18, assume 50% way through wave, 50% of currenlty ill who will die have died, only 50% of dealths are confirmed </t>
        </r>
      </text>
    </comment>
    <comment ref="C9" authorId="0" shapeId="0" xr:uid="{B5FDD637-716F-4428-A9C3-5078695EC37A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minus ICU days</t>
        </r>
      </text>
    </comment>
    <comment ref="B12" authorId="0" shapeId="0" xr:uid="{73768FA4-2327-4758-8623-69954B4A9843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chnages for each pt encounter</t>
        </r>
      </text>
    </comment>
    <comment ref="C14" authorId="0" shapeId="0" xr:uid="{6F9FFA1B-DF22-47FD-B4BA-04BF8432A9E0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D14" authorId="0" shapeId="0" xr:uid="{0C33B030-EE28-44BE-A8E2-F5ECA0793E34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C16" authorId="0" shapeId="0" xr:uid="{0009906B-4FBF-4B0A-96AF-05FEAE3BD7E0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only for nebs and emergency nitubations.</t>
        </r>
      </text>
    </comment>
    <comment ref="D16" authorId="0" shapeId="0" xr:uid="{95393989-52EB-4A51-9F6F-9CB75BEE0D10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D18" authorId="0" shapeId="0" xr:uid="{B4F4C827-614F-4101-814B-11BFF9A17C12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B24" authorId="0" shapeId="0" xr:uid="{0ED0BA4D-FB19-4E7C-936F-6C10C8EA2F8B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B26" authorId="0" shapeId="0" xr:uid="{E38C333C-0263-4CD5-B86A-6514B4918EF7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
</t>
        </r>
      </text>
    </comment>
    <comment ref="B29" authorId="0" shapeId="0" xr:uid="{CF5E8D2C-B043-4431-8811-79C853E29626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many visits are by telemedicine for mild cases</t>
        </r>
      </text>
    </comment>
    <comment ref="C33" authorId="0" shapeId="0" xr:uid="{3D46ACC4-2E03-4D38-B094-8B0789F3ED59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only use gown for patients with severe cough</t>
        </r>
      </text>
    </comment>
    <comment ref="C35" authorId="0" shapeId="0" xr:uid="{5B5FEAC5-7D10-4F61-BD91-AE81A0579670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only for severe patient pending transfer</t>
        </r>
      </text>
    </comment>
    <comment ref="C37" authorId="0" shapeId="0" xr:uid="{D783FBE8-89ED-46B5-B865-C00FA7639FC3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maks worn all shift by each staff member </t>
        </r>
      </text>
    </comment>
    <comment ref="B41" authorId="0" shapeId="0" xr:uid="{E8F08D98-649E-4790-B88C-8576341FC44C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# of NH patients</t>
        </r>
      </text>
    </comment>
    <comment ref="C41" authorId="0" shapeId="0" xr:uid="{155DA4E3-6810-40C9-91F3-EC28AA64CEC1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4" authorId="0" shapeId="0" xr:uid="{A730687F-4161-46BC-97FD-537E27499771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</t>
        </r>
      </text>
    </comment>
    <comment ref="B46" authorId="0" shapeId="0" xr:uid="{E0E1A0EE-8539-4BA7-9EAC-A34525769070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all staff wearing 1 mask all shift. </t>
        </r>
      </text>
    </comment>
    <comment ref="C46" authorId="0" shapeId="0" xr:uid="{2B56CD58-9B45-49C4-8F05-FE978AEF9B0A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assumes cohorting and no chages between pats unless dirty
</t>
        </r>
      </text>
    </comment>
    <comment ref="B51" authorId="0" shapeId="0" xr:uid="{AB5374BD-B9A3-46B9-A109-57CDA7BC2665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during outbreak PPE used on all runs</t>
        </r>
      </text>
    </comment>
    <comment ref="B64" authorId="0" shapeId="0" xr:uid="{3263678B-34DF-4D09-A62A-0567BB8B740A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rounded down to account for infant and very elderly and 
housebound</t>
        </r>
      </text>
    </comment>
    <comment ref="B65" authorId="0" shapeId="0" xr:uid="{481BB112-B355-46E7-B914-A47B29237216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75% adherence</t>
        </r>
      </text>
    </comment>
    <comment ref="B66" authorId="0" shapeId="0" xr:uid="{EAE1DBAD-C63F-48FE-9C94-5E417372C50B}">
      <text>
        <r>
          <rPr>
            <b/>
            <sz val="9"/>
            <color indexed="81"/>
            <rFont val="Tahoma"/>
            <charset val="1"/>
          </rPr>
          <t>Toner, Eric:</t>
        </r>
        <r>
          <rPr>
            <sz val="9"/>
            <color indexed="81"/>
            <rFont val="Tahoma"/>
            <charset val="1"/>
          </rPr>
          <t xml:space="preserve">
1 mask every 5 days on average</t>
        </r>
      </text>
    </comment>
  </commentList>
</comments>
</file>

<file path=xl/sharedStrings.xml><?xml version="1.0" encoding="utf-8"?>
<sst xmlns="http://schemas.openxmlformats.org/spreadsheetml/2006/main" count="73" uniqueCount="44">
  <si>
    <t>gloves</t>
  </si>
  <si>
    <t>changes/pt/d</t>
  </si>
  <si>
    <t>gowns</t>
  </si>
  <si>
    <t>N95</t>
  </si>
  <si>
    <t>simple masks</t>
  </si>
  <si>
    <t># pt visits</t>
  </si>
  <si>
    <t>visits</t>
  </si>
  <si>
    <t>changes/visit</t>
  </si>
  <si>
    <t>deaths</t>
  </si>
  <si>
    <t>CFR %</t>
  </si>
  <si>
    <t>hosp adm</t>
  </si>
  <si>
    <t>attack rate %</t>
  </si>
  <si>
    <t>hosp adm %</t>
  </si>
  <si>
    <t>masks</t>
  </si>
  <si>
    <t>Nursing homes</t>
  </si>
  <si>
    <t>pts</t>
  </si>
  <si>
    <t>EMS</t>
  </si>
  <si>
    <t>normal runs</t>
  </si>
  <si>
    <t>total</t>
  </si>
  <si>
    <t>change/CV run</t>
  </si>
  <si>
    <t>change/all run</t>
  </si>
  <si>
    <t>mask</t>
  </si>
  <si>
    <t>general public</t>
  </si>
  <si>
    <t>masks/d</t>
  </si>
  <si>
    <t>per month</t>
  </si>
  <si>
    <t>clinical cases</t>
  </si>
  <si>
    <t>ICU adm</t>
  </si>
  <si>
    <t>LOS non-ICU (days)</t>
  </si>
  <si>
    <t>LOS ICU (days)</t>
  </si>
  <si>
    <t>Epi model for a 100-day wave with sustained suppression measures</t>
  </si>
  <si>
    <t>per capita</t>
  </si>
  <si>
    <t>Estimated US PPE Needs</t>
  </si>
  <si>
    <t>Additional needs for widespread public use</t>
  </si>
  <si>
    <t>patient-days</t>
  </si>
  <si>
    <t>ICU</t>
  </si>
  <si>
    <t>Non-ICU</t>
  </si>
  <si>
    <t>Combined</t>
  </si>
  <si>
    <t>Hospital inpatient</t>
  </si>
  <si>
    <t>Emrgency Dept</t>
  </si>
  <si>
    <t>Outpatient</t>
  </si>
  <si>
    <t>Worksheet for calcuating national PPE need for COVID-19</t>
  </si>
  <si>
    <t xml:space="preserve"> per day after 1st wave and until vaccine</t>
  </si>
  <si>
    <t>COVID patients</t>
  </si>
  <si>
    <t>updated 4/18/20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</si>
</sst>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1C400"/>
        <bgColor indexed="64"/>
      </patternFill>
    </fill>
    <fill>
      <patternFill patternType="solid">
        <fgColor rgb="FF6CACE4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3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/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0" fillId="0" borderId="15" xfId="0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7" xfId="0" applyBorder="1"/>
    <xf numFmtId="0" fontId="6" fillId="0" borderId="2" xfId="0" applyFont="1" applyBorder="1"/>
    <xf numFmtId="0" fontId="7" fillId="0" borderId="3" xfId="0" applyFont="1" applyBorder="1"/>
    <xf numFmtId="0" fontId="0" fillId="3" borderId="16" xfId="0" applyFill="1" applyBorder="1"/>
    <xf numFmtId="0" fontId="0" fillId="3" borderId="17" xfId="0" applyFill="1" applyBorder="1"/>
    <xf numFmtId="0" fontId="6" fillId="0" borderId="18" xfId="0" applyFont="1" applyBorder="1"/>
    <xf numFmtId="0" fontId="0" fillId="2" borderId="17" xfId="0" applyFont="1" applyFill="1" applyBorder="1"/>
    <xf numFmtId="0" fontId="0" fillId="2" borderId="17" xfId="0" applyFill="1" applyBorder="1"/>
    <xf numFmtId="0" fontId="7" fillId="0" borderId="0" xfId="0" applyFont="1"/>
    <xf numFmtId="0" fontId="8" fillId="0" borderId="3" xfId="0" applyFont="1" applyBorder="1"/>
    <xf numFmtId="0" fontId="8" fillId="0" borderId="0" xfId="0" applyFont="1"/>
    <xf numFmtId="3" fontId="0" fillId="2" borderId="17" xfId="0" applyNumberFormat="1" applyFont="1" applyFill="1" applyBorder="1"/>
    <xf numFmtId="3" fontId="0" fillId="4" borderId="5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5" borderId="14" xfId="0" applyNumberFormat="1" applyFill="1" applyBorder="1"/>
    <xf numFmtId="3" fontId="0" fillId="5" borderId="0" xfId="0" applyNumberFormat="1" applyFill="1" applyBorder="1"/>
    <xf numFmtId="0" fontId="0" fillId="5" borderId="0" xfId="0" applyFill="1" applyBorder="1"/>
    <xf numFmtId="0" fontId="0" fillId="5" borderId="15" xfId="0" applyFill="1" applyBorder="1"/>
    <xf numFmtId="3" fontId="0" fillId="5" borderId="5" xfId="0" applyNumberFormat="1" applyFill="1" applyBorder="1"/>
    <xf numFmtId="0" fontId="0" fillId="5" borderId="6" xfId="0" applyFill="1" applyBorder="1"/>
    <xf numFmtId="0" fontId="0" fillId="5" borderId="7" xfId="0" applyFill="1" applyBorder="1"/>
    <xf numFmtId="2" fontId="0" fillId="0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ACE4"/>
      <color rgb="FFF1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C0C9-BE43-4C79-9159-8DA0E23FB1D9}">
  <dimension ref="A1:M66"/>
  <sheetViews>
    <sheetView tabSelected="1" workbookViewId="0">
      <selection activeCell="I10" sqref="I10"/>
    </sheetView>
  </sheetViews>
  <sheetFormatPr defaultRowHeight="15" x14ac:dyDescent="0.25"/>
  <cols>
    <col min="1" max="1" width="17.42578125" customWidth="1"/>
    <col min="2" max="2" width="14.140625" customWidth="1"/>
    <col min="3" max="3" width="13.140625" customWidth="1"/>
    <col min="4" max="4" width="15.5703125" customWidth="1"/>
    <col min="5" max="5" width="13" customWidth="1"/>
    <col min="6" max="6" width="13.28515625" customWidth="1"/>
    <col min="7" max="7" width="12.28515625" customWidth="1"/>
    <col min="8" max="9" width="12.7109375" customWidth="1"/>
    <col min="10" max="10" width="13.28515625" customWidth="1"/>
    <col min="11" max="11" width="12.140625" customWidth="1"/>
    <col min="12" max="13" width="11.140625" bestFit="1" customWidth="1"/>
    <col min="18" max="18" width="10.140625" bestFit="1" customWidth="1"/>
  </cols>
  <sheetData>
    <row r="1" spans="1:13" ht="23.25" x14ac:dyDescent="0.35">
      <c r="A1" t="s">
        <v>43</v>
      </c>
      <c r="B1" s="29"/>
      <c r="C1" s="29" t="s">
        <v>40</v>
      </c>
      <c r="D1" s="29"/>
      <c r="E1" s="30"/>
    </row>
    <row r="2" spans="1:13" ht="15.75" thickBot="1" x14ac:dyDescent="0.3"/>
    <row r="3" spans="1:13" ht="18.75" customHeight="1" x14ac:dyDescent="0.3">
      <c r="A3" s="13" t="s">
        <v>29</v>
      </c>
      <c r="B3" s="14"/>
      <c r="C3" s="14"/>
      <c r="D3" s="14"/>
      <c r="E3" s="5"/>
      <c r="F3" s="5"/>
      <c r="G3" s="6"/>
      <c r="I3" s="21" t="s">
        <v>31</v>
      </c>
      <c r="J3" s="22"/>
      <c r="K3" s="5"/>
      <c r="L3" s="5"/>
      <c r="M3" s="6"/>
    </row>
    <row r="4" spans="1:13" x14ac:dyDescent="0.25">
      <c r="A4" s="7" t="s">
        <v>25</v>
      </c>
      <c r="B4" s="8" t="s">
        <v>10</v>
      </c>
      <c r="C4" s="8" t="s">
        <v>26</v>
      </c>
      <c r="D4" s="11" t="s">
        <v>8</v>
      </c>
      <c r="E4" s="12" t="s">
        <v>9</v>
      </c>
      <c r="F4" s="8" t="s">
        <v>11</v>
      </c>
      <c r="G4" s="9" t="s">
        <v>12</v>
      </c>
      <c r="I4" s="23" t="s">
        <v>0</v>
      </c>
      <c r="J4" s="24" t="s">
        <v>2</v>
      </c>
      <c r="K4" s="24" t="s">
        <v>3</v>
      </c>
      <c r="L4" s="24" t="s">
        <v>13</v>
      </c>
      <c r="M4" s="17"/>
    </row>
    <row r="5" spans="1:13" ht="15.75" thickBot="1" x14ac:dyDescent="0.3">
      <c r="A5" s="32">
        <f>B5/15*100</f>
        <v>9408000</v>
      </c>
      <c r="B5" s="33">
        <f>C5/25*100</f>
        <v>1411200</v>
      </c>
      <c r="C5" s="33">
        <f>D5*0.7*2</f>
        <v>352800</v>
      </c>
      <c r="D5" s="34">
        <f>31500*2*2*2</f>
        <v>252000</v>
      </c>
      <c r="E5" s="42">
        <f>D5/A5*100</f>
        <v>2.6785714285714284</v>
      </c>
      <c r="F5" s="15">
        <f>A5/330000000*100</f>
        <v>2.8509090909090906</v>
      </c>
      <c r="G5" s="16">
        <f>B5/A5*100</f>
        <v>15</v>
      </c>
      <c r="I5" s="35">
        <f>E13+C23+C32+C43+C54</f>
        <v>3392691761.0958905</v>
      </c>
      <c r="J5" s="36">
        <f>E15+C24+C34+C45+C56</f>
        <v>320745360</v>
      </c>
      <c r="K5" s="36">
        <f>E17+C25+C36+C60</f>
        <v>57388800</v>
      </c>
      <c r="L5" s="36">
        <f>E19+C26+C38+C47+C58</f>
        <v>178671680.5479452</v>
      </c>
      <c r="M5" s="17"/>
    </row>
    <row r="6" spans="1:13" ht="15.75" thickBot="1" x14ac:dyDescent="0.3">
      <c r="E6" s="10"/>
      <c r="F6" s="10"/>
      <c r="G6" s="10"/>
      <c r="I6" s="18">
        <f>I5/330000000</f>
        <v>10.280884124533001</v>
      </c>
      <c r="J6" s="19">
        <f t="shared" ref="J6:L6" si="0">J5/330000000</f>
        <v>0.97195563636363635</v>
      </c>
      <c r="K6" s="19">
        <f t="shared" si="0"/>
        <v>0.17390545454545456</v>
      </c>
      <c r="L6" s="19">
        <f t="shared" si="0"/>
        <v>0.54142933499377333</v>
      </c>
      <c r="M6" s="20" t="s">
        <v>30</v>
      </c>
    </row>
    <row r="7" spans="1:13" ht="15.75" thickBot="1" x14ac:dyDescent="0.3"/>
    <row r="8" spans="1:13" ht="18.75" x14ac:dyDescent="0.3">
      <c r="A8" s="28" t="s">
        <v>37</v>
      </c>
      <c r="B8" s="2"/>
      <c r="C8" s="2" t="s">
        <v>33</v>
      </c>
      <c r="D8" s="2"/>
      <c r="G8" s="3"/>
      <c r="H8" s="3"/>
      <c r="I8" s="21" t="s">
        <v>32</v>
      </c>
      <c r="J8" s="21"/>
      <c r="K8" s="21"/>
      <c r="L8" s="25"/>
    </row>
    <row r="9" spans="1:13" x14ac:dyDescent="0.25">
      <c r="A9" t="s">
        <v>27</v>
      </c>
      <c r="B9">
        <v>11</v>
      </c>
      <c r="C9" s="2">
        <f>B5*B9-C10</f>
        <v>12700800</v>
      </c>
      <c r="I9" s="35">
        <f>B66</f>
        <v>45000000</v>
      </c>
      <c r="J9" s="37" t="s">
        <v>41</v>
      </c>
      <c r="K9" s="37"/>
      <c r="L9" s="38"/>
    </row>
    <row r="10" spans="1:13" ht="15.75" thickBot="1" x14ac:dyDescent="0.3">
      <c r="A10" t="s">
        <v>28</v>
      </c>
      <c r="B10">
        <v>8</v>
      </c>
      <c r="C10" s="2">
        <f>C5*B10</f>
        <v>2822400</v>
      </c>
      <c r="I10" s="39">
        <f>I9*30.5</f>
        <v>1372500000</v>
      </c>
      <c r="J10" s="40" t="s">
        <v>24</v>
      </c>
      <c r="K10" s="40"/>
      <c r="L10" s="41"/>
    </row>
    <row r="11" spans="1:13" x14ac:dyDescent="0.25">
      <c r="C11" s="26" t="s">
        <v>35</v>
      </c>
      <c r="D11" s="31" t="s">
        <v>34</v>
      </c>
      <c r="E11" s="27" t="s">
        <v>36</v>
      </c>
    </row>
    <row r="12" spans="1:13" x14ac:dyDescent="0.25">
      <c r="A12" t="s">
        <v>0</v>
      </c>
      <c r="B12" t="s">
        <v>1</v>
      </c>
      <c r="C12">
        <f>80*2</f>
        <v>160</v>
      </c>
      <c r="D12">
        <f>170*2</f>
        <v>340</v>
      </c>
    </row>
    <row r="13" spans="1:13" x14ac:dyDescent="0.25">
      <c r="C13" s="2">
        <f>C12*C9</f>
        <v>2032128000</v>
      </c>
      <c r="D13" s="2">
        <f>D12*C10</f>
        <v>959616000</v>
      </c>
      <c r="E13" s="2">
        <f>D13+C13</f>
        <v>2991744000</v>
      </c>
    </row>
    <row r="14" spans="1:13" x14ac:dyDescent="0.25">
      <c r="A14" t="s">
        <v>2</v>
      </c>
      <c r="B14" t="s">
        <v>1</v>
      </c>
      <c r="C14">
        <v>20</v>
      </c>
      <c r="D14">
        <v>20</v>
      </c>
    </row>
    <row r="15" spans="1:13" x14ac:dyDescent="0.25">
      <c r="C15" s="2">
        <f>C14*C9</f>
        <v>254016000</v>
      </c>
      <c r="D15" s="2">
        <f>D14*C10</f>
        <v>56448000</v>
      </c>
      <c r="E15" s="2">
        <f>D15+C15</f>
        <v>310464000</v>
      </c>
    </row>
    <row r="16" spans="1:13" x14ac:dyDescent="0.25">
      <c r="A16" t="s">
        <v>3</v>
      </c>
      <c r="B16" t="s">
        <v>1</v>
      </c>
      <c r="C16">
        <v>2.6</v>
      </c>
      <c r="D16">
        <v>6</v>
      </c>
    </row>
    <row r="17" spans="1:6" x14ac:dyDescent="0.25">
      <c r="C17" s="2">
        <f>C16*C9</f>
        <v>33022080</v>
      </c>
      <c r="D17" s="2">
        <f>D16*C10</f>
        <v>16934400</v>
      </c>
      <c r="E17" s="2">
        <f>D17+C17</f>
        <v>49956480</v>
      </c>
    </row>
    <row r="18" spans="1:6" x14ac:dyDescent="0.25">
      <c r="A18" t="s">
        <v>4</v>
      </c>
      <c r="B18" t="s">
        <v>1</v>
      </c>
      <c r="C18">
        <v>10</v>
      </c>
      <c r="D18">
        <v>10</v>
      </c>
    </row>
    <row r="19" spans="1:6" x14ac:dyDescent="0.25">
      <c r="C19" s="2">
        <f>C18*C9</f>
        <v>127008000</v>
      </c>
      <c r="D19" s="2">
        <f>D18*C10</f>
        <v>28224000</v>
      </c>
      <c r="E19" s="2">
        <f>D19+C19</f>
        <v>155232000</v>
      </c>
    </row>
    <row r="20" spans="1:6" x14ac:dyDescent="0.25">
      <c r="C20" s="2"/>
      <c r="D20" s="2"/>
      <c r="E20" s="2"/>
      <c r="F20" s="2"/>
    </row>
    <row r="21" spans="1:6" x14ac:dyDescent="0.25">
      <c r="A21" s="1" t="s">
        <v>38</v>
      </c>
      <c r="B21" t="s">
        <v>6</v>
      </c>
      <c r="C21" s="2">
        <f>B5*5</f>
        <v>7056000</v>
      </c>
    </row>
    <row r="22" spans="1:6" x14ac:dyDescent="0.25">
      <c r="B22" t="s">
        <v>7</v>
      </c>
    </row>
    <row r="23" spans="1:6" x14ac:dyDescent="0.25">
      <c r="A23" t="s">
        <v>0</v>
      </c>
      <c r="B23">
        <f>25</f>
        <v>25</v>
      </c>
      <c r="C23" s="2">
        <f>C21*B23*2</f>
        <v>352800000</v>
      </c>
    </row>
    <row r="24" spans="1:6" x14ac:dyDescent="0.25">
      <c r="A24" t="s">
        <v>2</v>
      </c>
      <c r="B24">
        <v>1</v>
      </c>
      <c r="C24" s="2">
        <f>B24*C$21</f>
        <v>7056000</v>
      </c>
    </row>
    <row r="25" spans="1:6" x14ac:dyDescent="0.25">
      <c r="A25" t="s">
        <v>3</v>
      </c>
      <c r="B25">
        <v>1</v>
      </c>
      <c r="C25" s="2">
        <f t="shared" ref="C25:C26" si="1">B25*C$21</f>
        <v>7056000</v>
      </c>
    </row>
    <row r="26" spans="1:6" x14ac:dyDescent="0.25">
      <c r="A26" t="s">
        <v>4</v>
      </c>
      <c r="B26">
        <v>1</v>
      </c>
      <c r="C26" s="2">
        <f t="shared" si="1"/>
        <v>7056000</v>
      </c>
    </row>
    <row r="28" spans="1:6" x14ac:dyDescent="0.25">
      <c r="A28" s="1" t="s">
        <v>39</v>
      </c>
    </row>
    <row r="29" spans="1:6" x14ac:dyDescent="0.25">
      <c r="A29" t="s">
        <v>5</v>
      </c>
      <c r="B29" s="2">
        <f>A5/4</f>
        <v>2352000</v>
      </c>
    </row>
    <row r="31" spans="1:6" x14ac:dyDescent="0.25">
      <c r="A31" t="s">
        <v>0</v>
      </c>
      <c r="B31" t="s">
        <v>7</v>
      </c>
      <c r="C31">
        <v>3</v>
      </c>
    </row>
    <row r="32" spans="1:6" x14ac:dyDescent="0.25">
      <c r="C32" s="2">
        <f>C31*B29*2</f>
        <v>14112000</v>
      </c>
    </row>
    <row r="33" spans="1:3" x14ac:dyDescent="0.25">
      <c r="A33" t="s">
        <v>2</v>
      </c>
      <c r="B33" t="s">
        <v>7</v>
      </c>
      <c r="C33">
        <v>1</v>
      </c>
    </row>
    <row r="34" spans="1:3" x14ac:dyDescent="0.25">
      <c r="C34" s="2">
        <f>C33*B29</f>
        <v>2352000</v>
      </c>
    </row>
    <row r="35" spans="1:3" x14ac:dyDescent="0.25">
      <c r="A35" t="s">
        <v>3</v>
      </c>
      <c r="B35" t="s">
        <v>7</v>
      </c>
      <c r="C35">
        <v>0.1</v>
      </c>
    </row>
    <row r="36" spans="1:3" x14ac:dyDescent="0.25">
      <c r="C36" s="2">
        <f>C35*B29</f>
        <v>235200</v>
      </c>
    </row>
    <row r="37" spans="1:3" x14ac:dyDescent="0.25">
      <c r="A37" t="s">
        <v>4</v>
      </c>
      <c r="B37" t="s">
        <v>7</v>
      </c>
      <c r="C37">
        <f>4/10</f>
        <v>0.4</v>
      </c>
    </row>
    <row r="38" spans="1:3" x14ac:dyDescent="0.25">
      <c r="C38" s="2">
        <f>C37*B29</f>
        <v>940800</v>
      </c>
    </row>
    <row r="40" spans="1:3" x14ac:dyDescent="0.25">
      <c r="A40" s="1" t="s">
        <v>14</v>
      </c>
    </row>
    <row r="41" spans="1:3" x14ac:dyDescent="0.25">
      <c r="A41" t="s">
        <v>15</v>
      </c>
      <c r="B41" s="2">
        <v>1500000</v>
      </c>
      <c r="C41" s="2">
        <f>B41*0.1</f>
        <v>150000</v>
      </c>
    </row>
    <row r="42" spans="1:3" x14ac:dyDescent="0.25">
      <c r="A42" t="s">
        <v>0</v>
      </c>
      <c r="B42" t="s">
        <v>1</v>
      </c>
      <c r="C42">
        <v>12</v>
      </c>
    </row>
    <row r="43" spans="1:3" x14ac:dyDescent="0.25">
      <c r="C43" s="2">
        <f>C42*C41*2</f>
        <v>3600000</v>
      </c>
    </row>
    <row r="44" spans="1:3" x14ac:dyDescent="0.25">
      <c r="A44" t="s">
        <v>2</v>
      </c>
      <c r="B44" t="s">
        <v>1</v>
      </c>
      <c r="C44">
        <v>3</v>
      </c>
    </row>
    <row r="45" spans="1:3" x14ac:dyDescent="0.25">
      <c r="C45" s="2">
        <f>C44*C41</f>
        <v>450000</v>
      </c>
    </row>
    <row r="46" spans="1:3" x14ac:dyDescent="0.25">
      <c r="A46" t="s">
        <v>4</v>
      </c>
      <c r="B46" t="s">
        <v>1</v>
      </c>
      <c r="C46">
        <v>1.5</v>
      </c>
    </row>
    <row r="47" spans="1:3" x14ac:dyDescent="0.25">
      <c r="C47" s="2">
        <f>C46*C41</f>
        <v>225000</v>
      </c>
    </row>
    <row r="48" spans="1:3" x14ac:dyDescent="0.25">
      <c r="C48" s="2"/>
    </row>
    <row r="49" spans="1:3" x14ac:dyDescent="0.25">
      <c r="A49" s="1" t="s">
        <v>16</v>
      </c>
    </row>
    <row r="50" spans="1:3" x14ac:dyDescent="0.25">
      <c r="A50" t="s">
        <v>42</v>
      </c>
      <c r="B50" s="2">
        <f>B5*0.1</f>
        <v>141120</v>
      </c>
    </row>
    <row r="51" spans="1:3" x14ac:dyDescent="0.25">
      <c r="A51" t="s">
        <v>17</v>
      </c>
      <c r="B51" s="2">
        <f>18000000/365*100</f>
        <v>4931506.8493150687</v>
      </c>
    </row>
    <row r="52" spans="1:3" x14ac:dyDescent="0.25">
      <c r="A52" t="s">
        <v>18</v>
      </c>
      <c r="B52" s="4">
        <f>SUM(B50:B51)</f>
        <v>5072626.8493150687</v>
      </c>
    </row>
    <row r="53" spans="1:3" x14ac:dyDescent="0.25">
      <c r="A53" t="s">
        <v>0</v>
      </c>
      <c r="B53" t="s">
        <v>20</v>
      </c>
      <c r="C53">
        <v>3</v>
      </c>
    </row>
    <row r="54" spans="1:3" x14ac:dyDescent="0.25">
      <c r="C54" s="2">
        <f>C53*B52*2</f>
        <v>30435761.09589041</v>
      </c>
    </row>
    <row r="55" spans="1:3" x14ac:dyDescent="0.25">
      <c r="A55" t="s">
        <v>2</v>
      </c>
      <c r="B55" t="s">
        <v>19</v>
      </c>
      <c r="C55">
        <v>3</v>
      </c>
    </row>
    <row r="56" spans="1:3" x14ac:dyDescent="0.25">
      <c r="C56" s="2">
        <f>C55*B50</f>
        <v>423360</v>
      </c>
    </row>
    <row r="57" spans="1:3" x14ac:dyDescent="0.25">
      <c r="A57" t="s">
        <v>21</v>
      </c>
      <c r="B57" t="s">
        <v>20</v>
      </c>
      <c r="C57">
        <v>3</v>
      </c>
    </row>
    <row r="58" spans="1:3" x14ac:dyDescent="0.25">
      <c r="C58" s="2">
        <f>C57*B52</f>
        <v>15217880.547945205</v>
      </c>
    </row>
    <row r="59" spans="1:3" x14ac:dyDescent="0.25">
      <c r="A59" t="s">
        <v>3</v>
      </c>
      <c r="B59" t="s">
        <v>19</v>
      </c>
      <c r="C59">
        <v>1</v>
      </c>
    </row>
    <row r="60" spans="1:3" x14ac:dyDescent="0.25">
      <c r="C60" s="2">
        <f>C59*B50</f>
        <v>141120</v>
      </c>
    </row>
    <row r="62" spans="1:3" x14ac:dyDescent="0.25">
      <c r="A62" t="s">
        <v>22</v>
      </c>
    </row>
    <row r="63" spans="1:3" x14ac:dyDescent="0.25">
      <c r="B63" s="2">
        <v>330000000</v>
      </c>
    </row>
    <row r="64" spans="1:3" x14ac:dyDescent="0.25">
      <c r="B64" s="2">
        <v>300000000</v>
      </c>
    </row>
    <row r="65" spans="2:3" x14ac:dyDescent="0.25">
      <c r="B65" s="2">
        <f>B64*0.75</f>
        <v>225000000</v>
      </c>
    </row>
    <row r="66" spans="2:3" x14ac:dyDescent="0.25">
      <c r="B66">
        <f>B65/5</f>
        <v>45000000</v>
      </c>
      <c r="C66" t="s">
        <v>23</v>
      </c>
    </row>
  </sheetData>
  <pageMargins left="0.7" right="0.7" top="0.75" bottom="0.75" header="0.3" footer="0.3"/>
  <pageSetup orientation="portrait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5152291A95C4C94F715A7BD0764EE" ma:contentTypeVersion="13" ma:contentTypeDescription="Create a new document." ma:contentTypeScope="" ma:versionID="fa748bdc3990b14b9f911477dd167a05">
  <xsd:schema xmlns:xsd="http://www.w3.org/2001/XMLSchema" xmlns:xs="http://www.w3.org/2001/XMLSchema" xmlns:p="http://schemas.microsoft.com/office/2006/metadata/properties" xmlns:ns3="f2dfe0ea-4a28-4405-8c78-ba3acc7bab10" xmlns:ns4="b52735ef-fc28-4934-b18a-3144eb27591a" targetNamespace="http://schemas.microsoft.com/office/2006/metadata/properties" ma:root="true" ma:fieldsID="56333a1dea37b76b8edbab65ce6d9d04" ns3:_="" ns4:_="">
    <xsd:import namespace="f2dfe0ea-4a28-4405-8c78-ba3acc7bab10"/>
    <xsd:import namespace="b52735ef-fc28-4934-b18a-3144eb2759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fe0ea-4a28-4405-8c78-ba3acc7ba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735ef-fc28-4934-b18a-3144eb275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0D374-91F1-441A-8910-E53009925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dfe0ea-4a28-4405-8c78-ba3acc7bab10"/>
    <ds:schemaRef ds:uri="b52735ef-fc28-4934-b18a-3144eb275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2688AF-9242-4A3A-8A43-06E762C5491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2dfe0ea-4a28-4405-8c78-ba3acc7bab10"/>
    <ds:schemaRef ds:uri="http://purl.org/dc/elements/1.1/"/>
    <ds:schemaRef ds:uri="http://schemas.microsoft.com/office/infopath/2007/PartnerControls"/>
    <ds:schemaRef ds:uri="b52735ef-fc28-4934-b18a-3144eb27591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B0E89B-AB0A-46CC-B39B-B8C253009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Toner, Eric</cp:lastModifiedBy>
  <dcterms:created xsi:type="dcterms:W3CDTF">2020-03-30T23:00:24Z</dcterms:created>
  <dcterms:modified xsi:type="dcterms:W3CDTF">2020-04-18T17:57:27Z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0x0101008CC5152291A95C4C94F715A7BD0764EE</vt:lpwstr>
  </property>
</Properties>
</file>